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<sst xmlns="http://schemas.openxmlformats.org/spreadsheetml/2006/main" count="1626" uniqueCount="268">
  <si>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</si>
  <si>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</si>
  <si>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</si>
  <si>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</si>
  <si>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</si>
  <si>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</si>
  <si>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</si>
  <si>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</si>
  <si>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</si>
  <si>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</si>
  <si>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</si>
  <si>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</si>
  <si>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</si>
  <si>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</si>
  <si>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</si>
  <si>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</si>
  <si>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</si>
  <si>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</si>
  <si>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</si>
  <si>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</si>
  <si>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</si>
  <si>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</si>
  <si>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</si>
  <si>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</si>
  <si>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</si>
  <si>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</si>
  <si>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</si>
  <si>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</si>
  <si>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</si>
  <si>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</si>
  <si>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</si>
  <si>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</si>
  <si>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</si>
  <si>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</si>
  <si>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</si>
  <si>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</si>
  <si>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</si>
  <si>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</si>
  <si>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</si>
  <si>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</si>
  <si>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</si>
  <si>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</si>
  <si>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</si>
  <si>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</si>
  <si>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</si>
  <si>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</si>
  <si>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</si>
  <si>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</si>
  <si>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</si>
  <si>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</si>
  <si>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</si>
  <si>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</si>
  <si>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</si>
  <si>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</si>
  <si>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</si>
  <si>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</si>
  <si>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</si>
  <si>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</si>
  <si>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</si>
  <si>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</si>
  <si>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</si>
  <si>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</si>
  <si>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</si>
  <si>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</si>
  <si>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</si>
  <si>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</si>
  <si>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</si>
  <si>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</si>
  <si>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</si>
  <si>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</si>
  <si>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</si>
  <si>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</si>
  <si>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</si>
  <si>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</si>
  <si>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</si>
  <si>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</si>
  <si>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</si>
  <si>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</si>
  <si>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</si>
  <si>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</si>
  <si>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</si>
  <si>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</si>
  <si>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</si>
  <si>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</si>
  <si>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</si>
  <si>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</si>
  <si>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</si>
  <si>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</si>
  <si>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</si>
  <si>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</si>
  <si>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</si>
  <si>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</si>
  <si>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</si>
  <si>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</si>
  <si>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</si>
  <si>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</si>
  <si>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</si>
  <si>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</si>
  <si>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</si>
  <si>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</si>
  <si>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</si>
  <si>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</si>
  <si>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</si>
  <si>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</si>
  <si>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</si>
  <si>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</si>
  <si>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</si>
  <si>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</si>
  <si>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</si>
  <si>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</si>
  <si>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</si>
  <si>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</si>
  <si>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</si>
  <si>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</si>
  <si>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</si>
  <si>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</si>
  <si>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</si>
  <si>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</si>
  <si>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</si>
  <si>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</si>
  <si>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</si>
  <si>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</si>
  <si>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</si>
  <si>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</si>
  <si>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</si>
  <si>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</si>
  <si>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</si>
  <si>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</si>
  <si>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</si>
  <si>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</si>
  <si>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</si>
  <si>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</si>
  <si>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</si>
  <si>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</si>
  <si>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</si>
  <si>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</si>
  <si>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</si>
  <si>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</si>
  <si>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</si>
  <si>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</si>
  <si>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</si>
  <si>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</si>
  <si>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</si>
  <si>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</si>
  <si>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</si>
  <si>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</si>
  <si>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</si>
  <si>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</si>
  <si>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</si>
  <si>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</si>
  <si>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</si>
  <si>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</si>
  <si>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</si>
  <si>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</si>
  <si>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</si>
  <si>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</si>
  <si>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</si>
  <si>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</si>
  <si>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</si>
  <si>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</si>
  <si>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</si>
  <si>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</si>
  <si>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</si>
  <si>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</si>
  <si>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</si>
  <si>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</si>
  <si>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</si>
  <si>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</si>
  <si>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</si>
  <si>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</si>
  <si>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</si>
  <si>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</si>
  <si>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</si>
  <si>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</si>
  <si>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</si>
  <si>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</si>
  <si>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</si>
  <si>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</si>
  <si>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</si>
  <si>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</si>
  <si>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</si>
  <si>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</si>
  <si>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</si>
  <si>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</si>
  <si>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</si>
  <si>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</si>
  <si>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</si>
  <si>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</si>
  <si>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</si>
  <si>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</si>
  <si>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</si>
  <si>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</si>
  <si>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</si>
  <si>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</si>
  <si>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</si>
  <si>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</si>
  <si>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</si>
  <si>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</si>
  <si>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</si>
  <si>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</si>
  <si>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</si>
  <si>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</si>
  <si>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</si>
  <si>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</si>
  <si>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</si>
  <si>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</si>
  <si>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</si>
  <si>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</si>
  <si>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</si>
  <si>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</si>
  <si>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</si>
  <si>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</si>
  <si>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</si>
  <si>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</si>
  <si>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</si>
  <si>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</si>
  <si>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</si>
  <si>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</si>
  <si>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</si>
  <si>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</si>
  <si>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</si>
  <si>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</si>
  <si>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</si>
  <si>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</si>
  <si>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</si>
  <si>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</si>
  <si>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</si>
  <si>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</si>
  <si>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</si>
  <si>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</si>
  <si>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</si>
  <si>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</si>
  <si>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</si>
  <si>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</si>
  <si>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</si>
  <si>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</si>
  <si>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</si>
  <si>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</si>
  <si>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</si>
  <si>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</si>
  <si>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</si>
  <si>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</si>
  <si>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</si>
  <si>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</si>
  <si>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</si>
  <si>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</si>
  <si>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</si>
  <si>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</si>
  <si>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</si>
  <si>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</si>
  <si>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</si>
  <si>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</si>
  <si>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</si>
  <si>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</si>
  <si>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</si>
  <si>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</si>
  <si>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</si>
  <si>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</si>
  <si>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</si>
  <si>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</si>
  <si>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</si>
  <si>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</si>
  <si>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</si>
  <si>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</si>
  <si>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</si>
  <si>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</si>
  <si>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15.08.14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</si>
  <si>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18.08.2014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</si>
</sst>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11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11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1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8"/>
      <sheetName val="депозит"/>
      <sheetName val="залишки  (2)"/>
      <sheetName val="надх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125770442.47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111945220.50999999</v>
          </cell>
        </row>
      </sheetData>
      <sheetData sheetId="13">
        <row r="52">
          <cell r="B52">
            <v>30041373.849999994</v>
          </cell>
        </row>
      </sheetData>
      <sheetData sheetId="19">
        <row r="28">
          <cell r="C28">
            <v>4870376.3</v>
          </cell>
        </row>
      </sheetData>
      <sheetData sheetId="20">
        <row r="28">
          <cell r="C28">
            <v>3219411</v>
          </cell>
        </row>
      </sheetData>
      <sheetData sheetId="21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3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45" sqref="G145:H145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267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261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259</v>
      </c>
      <c r="H4" s="189" t="s">
        <v>260</v>
      </c>
      <c r="I4" s="185" t="s">
        <v>188</v>
      </c>
      <c r="J4" s="191" t="s">
        <v>189</v>
      </c>
      <c r="K4" s="167" t="s">
        <v>264</v>
      </c>
      <c r="L4" s="168"/>
      <c r="M4" s="204"/>
      <c r="N4" s="183" t="s">
        <v>266</v>
      </c>
      <c r="O4" s="185" t="s">
        <v>136</v>
      </c>
      <c r="P4" s="185" t="s">
        <v>135</v>
      </c>
      <c r="Q4" s="167" t="s">
        <v>265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258</v>
      </c>
      <c r="F5" s="207"/>
      <c r="G5" s="188"/>
      <c r="H5" s="190"/>
      <c r="I5" s="186"/>
      <c r="J5" s="192"/>
      <c r="K5" s="180"/>
      <c r="L5" s="181"/>
      <c r="M5" s="151" t="s">
        <v>262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287606.15</v>
      </c>
      <c r="G8" s="22">
        <f aca="true" t="shared" si="0" ref="G8:G30">F8-E8</f>
        <v>-24407.23999999999</v>
      </c>
      <c r="H8" s="51">
        <f>F8/E8*100</f>
        <v>92.17750238218943</v>
      </c>
      <c r="I8" s="36">
        <f aca="true" t="shared" si="1" ref="I8:I17">F8-D8</f>
        <v>-200870.14999999997</v>
      </c>
      <c r="J8" s="36">
        <f aca="true" t="shared" si="2" ref="J8:J14">F8/D8*100</f>
        <v>58.87821988497702</v>
      </c>
      <c r="K8" s="36">
        <f>F8-306776.9</f>
        <v>-19170.75</v>
      </c>
      <c r="L8" s="136">
        <f>F8/306776.9</f>
        <v>0.9375091475270791</v>
      </c>
      <c r="M8" s="22">
        <f>M10+M19+M33+M56+M68+M30</f>
        <v>40778.67999999999</v>
      </c>
      <c r="N8" s="22">
        <f>N10+N19+N33+N56+N68+N30</f>
        <v>18480.87</v>
      </c>
      <c r="O8" s="36">
        <f aca="true" t="shared" si="3" ref="O8:O71">N8-M8</f>
        <v>-22297.809999999994</v>
      </c>
      <c r="P8" s="36">
        <f>F8/M8*100</f>
        <v>705.285580602413</v>
      </c>
      <c r="Q8" s="36">
        <f>N8-38892.4</f>
        <v>-20411.530000000002</v>
      </c>
      <c r="R8" s="134">
        <f>N8/38892.4</f>
        <v>0.4751794695107527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234196.9</v>
      </c>
      <c r="G9" s="22">
        <f t="shared" si="0"/>
        <v>234196.9</v>
      </c>
      <c r="H9" s="20"/>
      <c r="I9" s="56">
        <f t="shared" si="1"/>
        <v>-152816.30000000002</v>
      </c>
      <c r="J9" s="56">
        <f t="shared" si="2"/>
        <v>60.5139307909911</v>
      </c>
      <c r="K9" s="56"/>
      <c r="L9" s="135"/>
      <c r="M9" s="20">
        <f>M10+M17</f>
        <v>33764.899999999994</v>
      </c>
      <c r="N9" s="20">
        <f>N10+N17</f>
        <v>16311.279999999999</v>
      </c>
      <c r="O9" s="36">
        <f t="shared" si="3"/>
        <v>-17453.619999999995</v>
      </c>
      <c r="P9" s="56">
        <f>F9/M9*100</f>
        <v>693.6105245387963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40">
        <v>234196.9</v>
      </c>
      <c r="G10" s="49">
        <f t="shared" si="0"/>
        <v>-20939.100000000006</v>
      </c>
      <c r="H10" s="40">
        <f aca="true" t="shared" si="4" ref="H10:H17">F10/E10*100</f>
        <v>91.79296532045655</v>
      </c>
      <c r="I10" s="56">
        <f t="shared" si="1"/>
        <v>-152816.30000000002</v>
      </c>
      <c r="J10" s="56">
        <f t="shared" si="2"/>
        <v>60.5139307909911</v>
      </c>
      <c r="K10" s="141">
        <f>F10-242707.3</f>
        <v>-8510.399999999994</v>
      </c>
      <c r="L10" s="142">
        <f>F10/242707.3</f>
        <v>0.964935541699817</v>
      </c>
      <c r="M10" s="40">
        <f>E10-липень!E10</f>
        <v>33764.899999999994</v>
      </c>
      <c r="N10" s="40">
        <f>F10-липень!F10</f>
        <v>16311.279999999999</v>
      </c>
      <c r="O10" s="53">
        <f t="shared" si="3"/>
        <v>-17453.619999999995</v>
      </c>
      <c r="P10" s="56">
        <f aca="true" t="shared" si="5" ref="P10:P17">N10/M10*100</f>
        <v>48.30839125837779</v>
      </c>
      <c r="Q10" s="141">
        <f>N10-31381.5</f>
        <v>-15070.220000000001</v>
      </c>
      <c r="R10" s="142">
        <f>N10/31381.5</f>
        <v>0.5197737520513678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40">
        <v>349.5</v>
      </c>
      <c r="G19" s="49">
        <f t="shared" si="0"/>
        <v>-696.0999999999999</v>
      </c>
      <c r="H19" s="40">
        <f aca="true" t="shared" si="6" ref="H19:H29">F19/E19*100</f>
        <v>33.42578423871462</v>
      </c>
      <c r="I19" s="56">
        <f aca="true" t="shared" si="7" ref="I19:I29">F19-D19</f>
        <v>-650.5</v>
      </c>
      <c r="J19" s="56">
        <f aca="true" t="shared" si="8" ref="J19:J29">F19/D19*100</f>
        <v>34.949999999999996</v>
      </c>
      <c r="K19" s="56">
        <f>F19-6117.2</f>
        <v>-5767.7</v>
      </c>
      <c r="L19" s="135">
        <f>F19/6117.2</f>
        <v>0.057133982867978814</v>
      </c>
      <c r="M19" s="40">
        <f>E19-липень!E19</f>
        <v>12</v>
      </c>
      <c r="N19" s="40">
        <f>F19-липень!F19</f>
        <v>0.12000000000000455</v>
      </c>
      <c r="O19" s="53">
        <f t="shared" si="3"/>
        <v>-11.879999999999995</v>
      </c>
      <c r="P19" s="56">
        <f aca="true" t="shared" si="9" ref="P19:P29">N19/M19*100</f>
        <v>1.0000000000000377</v>
      </c>
      <c r="Q19" s="56">
        <f>N19-74.4</f>
        <v>-74.28</v>
      </c>
      <c r="R19" s="135">
        <f>N19/74.4</f>
        <v>0.0016129032258065125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46">
        <v>850.6</v>
      </c>
      <c r="G29" s="49">
        <f t="shared" si="0"/>
        <v>65</v>
      </c>
      <c r="H29" s="40">
        <f t="shared" si="6"/>
        <v>108.27393075356414</v>
      </c>
      <c r="I29" s="56">
        <f t="shared" si="7"/>
        <v>-79.39999999999998</v>
      </c>
      <c r="J29" s="56">
        <f t="shared" si="8"/>
        <v>91.46236559139786</v>
      </c>
      <c r="K29" s="148">
        <f>F29-2498.05</f>
        <v>-1647.4500000000003</v>
      </c>
      <c r="L29" s="149">
        <f>F29/2498.05</f>
        <v>0.3405055943636036</v>
      </c>
      <c r="M29" s="40">
        <f>E29-липень!E29</f>
        <v>52</v>
      </c>
      <c r="N29" s="40">
        <f>F29-липень!F29</f>
        <v>-0.03999999999996362</v>
      </c>
      <c r="O29" s="148">
        <f t="shared" si="3"/>
        <v>-52.039999999999964</v>
      </c>
      <c r="P29" s="145">
        <f t="shared" si="9"/>
        <v>-0.07692307692300696</v>
      </c>
      <c r="Q29" s="148">
        <f>N29-74.37</f>
        <v>-74.40999999999997</v>
      </c>
      <c r="R29" s="149">
        <f>N29/74.37</f>
        <v>-0.0005378512841194516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40">
        <v>3.32</v>
      </c>
      <c r="G30" s="49">
        <f t="shared" si="0"/>
        <v>-23.68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E30-липень!E30</f>
        <v>8.5</v>
      </c>
      <c r="N30" s="40">
        <f>F30-липень!F30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40">
        <v>48806.4</v>
      </c>
      <c r="G33" s="49">
        <f aca="true" t="shared" si="14" ref="G33:G72">F33-E33</f>
        <v>-2494.3899999999994</v>
      </c>
      <c r="H33" s="40">
        <f aca="true" t="shared" si="15" ref="H33:H67">F33/E33*100</f>
        <v>95.13771620281092</v>
      </c>
      <c r="I33" s="56">
        <f>F33-D33</f>
        <v>-44759.6</v>
      </c>
      <c r="J33" s="56">
        <f aca="true" t="shared" si="16" ref="J33:J72">F33/D33*100</f>
        <v>52.16253767394139</v>
      </c>
      <c r="K33" s="141">
        <f>F33-53788.3</f>
        <v>-4981.9000000000015</v>
      </c>
      <c r="L33" s="142">
        <f>F33/53788.3</f>
        <v>0.9073794858733218</v>
      </c>
      <c r="M33" s="40">
        <f>E33-липень!E33</f>
        <v>6439.68</v>
      </c>
      <c r="N33" s="40">
        <f>F33-липень!F33</f>
        <v>1704.239999999998</v>
      </c>
      <c r="O33" s="53">
        <f t="shared" si="3"/>
        <v>-4735.440000000002</v>
      </c>
      <c r="P33" s="56">
        <f aca="true" t="shared" si="17" ref="P33:P67">N33/M33*100</f>
        <v>26.46466905187832</v>
      </c>
      <c r="Q33" s="141">
        <f>N33-6951.4</f>
        <v>-5247.160000000002</v>
      </c>
      <c r="R33" s="142">
        <f>N33/6951.4</f>
        <v>0.24516500273326208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46">
        <v>36243.6</v>
      </c>
      <c r="G55" s="144">
        <f t="shared" si="14"/>
        <v>-1546.8899999999994</v>
      </c>
      <c r="H55" s="146">
        <f t="shared" si="15"/>
        <v>95.90666858249259</v>
      </c>
      <c r="I55" s="145">
        <f t="shared" si="18"/>
        <v>-34022.4</v>
      </c>
      <c r="J55" s="145">
        <f t="shared" si="16"/>
        <v>51.58056528050551</v>
      </c>
      <c r="K55" s="148">
        <f>F55-38852.08</f>
        <v>-2608.480000000003</v>
      </c>
      <c r="L55" s="149">
        <f>F55/38852.08</f>
        <v>0.9328612522160975</v>
      </c>
      <c r="M55" s="40">
        <f>E55-липень!E55</f>
        <v>4679.68</v>
      </c>
      <c r="N55" s="40">
        <f>F55-липень!F55</f>
        <v>1360.699999999997</v>
      </c>
      <c r="O55" s="148">
        <f t="shared" si="3"/>
        <v>-3318.980000000003</v>
      </c>
      <c r="P55" s="148">
        <f t="shared" si="17"/>
        <v>29.076774480306284</v>
      </c>
      <c r="Q55" s="163">
        <f>N55-5157.94</f>
        <v>-3797.2400000000025</v>
      </c>
      <c r="R55" s="164">
        <f>N55/5157.94</f>
        <v>0.26380686863360125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40">
        <v>4249</v>
      </c>
      <c r="G56" s="49">
        <f t="shared" si="14"/>
        <v>-254.89999999999964</v>
      </c>
      <c r="H56" s="40">
        <f t="shared" si="15"/>
        <v>94.34046048979774</v>
      </c>
      <c r="I56" s="56">
        <f t="shared" si="18"/>
        <v>-2611</v>
      </c>
      <c r="J56" s="56">
        <f t="shared" si="16"/>
        <v>61.93877551020408</v>
      </c>
      <c r="K56" s="56">
        <f>F56-4138.3</f>
        <v>110.69999999999982</v>
      </c>
      <c r="L56" s="135">
        <f>F56/4138.3</f>
        <v>1.026750114781432</v>
      </c>
      <c r="M56" s="40">
        <f>E56-липень!E56</f>
        <v>553.5999999999995</v>
      </c>
      <c r="N56" s="40">
        <f>F56-липень!F56</f>
        <v>465.23</v>
      </c>
      <c r="O56" s="53">
        <f t="shared" si="3"/>
        <v>-88.36999999999944</v>
      </c>
      <c r="P56" s="56">
        <f t="shared" si="17"/>
        <v>84.03721098265905</v>
      </c>
      <c r="Q56" s="56">
        <f>N56-484.9</f>
        <v>-19.66999999999996</v>
      </c>
      <c r="R56" s="135">
        <f>N56/484.9</f>
        <v>0.9594349350381522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F68-0.7</f>
        <v>0.33000000000000007</v>
      </c>
      <c r="L68" s="135"/>
      <c r="M68" s="40">
        <f>E68-липень!E68</f>
        <v>0</v>
      </c>
      <c r="N68" s="40">
        <f>F68-липень!F68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8347.83</v>
      </c>
      <c r="G74" s="50">
        <f aca="true" t="shared" si="24" ref="G74:G92">F74-E74</f>
        <v>-2251.67</v>
      </c>
      <c r="H74" s="51">
        <f aca="true" t="shared" si="25" ref="H74:H87">F74/E74*100</f>
        <v>78.75682815227132</v>
      </c>
      <c r="I74" s="36">
        <f aca="true" t="shared" si="26" ref="I74:I92">F74-D74</f>
        <v>-10010.47</v>
      </c>
      <c r="J74" s="36">
        <f aca="true" t="shared" si="27" ref="J74:J92">F74/D74*100</f>
        <v>45.47169400216796</v>
      </c>
      <c r="K74" s="36">
        <f>F74-12962.5</f>
        <v>-4614.67</v>
      </c>
      <c r="L74" s="136">
        <f>F74/12962.5</f>
        <v>0.6439984570877532</v>
      </c>
      <c r="M74" s="22">
        <f>M77+M86+M88+M89+M94+M95+M96+M97+M99+M87+M104</f>
        <v>1620.5</v>
      </c>
      <c r="N74" s="22">
        <f>N77+N86+N88+N89+N94+N95+N96+N97+N99+N32+N104+N87+N103</f>
        <v>903.6899999999996</v>
      </c>
      <c r="O74" s="55">
        <f aca="true" t="shared" si="28" ref="O74:O92">N74-M74</f>
        <v>-716.8100000000004</v>
      </c>
      <c r="P74" s="36">
        <f>N74/M74*100</f>
        <v>55.766121567417436</v>
      </c>
      <c r="Q74" s="36">
        <f>N74-1702.6</f>
        <v>-798.9100000000003</v>
      </c>
      <c r="R74" s="136">
        <f>N74/1702.6</f>
        <v>0.5307705861623397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57">
        <v>117.5</v>
      </c>
      <c r="G77" s="49">
        <f t="shared" si="24"/>
        <v>7.5</v>
      </c>
      <c r="H77" s="40">
        <f t="shared" si="25"/>
        <v>106.81818181818181</v>
      </c>
      <c r="I77" s="56">
        <f t="shared" si="26"/>
        <v>-382.5</v>
      </c>
      <c r="J77" s="56">
        <f t="shared" si="27"/>
        <v>23.5</v>
      </c>
      <c r="K77" s="56">
        <f>F77-1694.5</f>
        <v>-1577</v>
      </c>
      <c r="L77" s="135">
        <f>F77/1694.5</f>
        <v>0.06934198878725288</v>
      </c>
      <c r="M77" s="40">
        <f>E77-липень!E77</f>
        <v>50</v>
      </c>
      <c r="N77" s="40">
        <f>F77-липень!F77</f>
        <v>11.209999999999994</v>
      </c>
      <c r="O77" s="53">
        <f t="shared" si="28"/>
        <v>-38.790000000000006</v>
      </c>
      <c r="P77" s="56">
        <f aca="true" t="shared" si="29" ref="P77:P87">N77/M77*100</f>
        <v>22.419999999999987</v>
      </c>
      <c r="Q77" s="56">
        <f>N77-46.4</f>
        <v>-35.190000000000005</v>
      </c>
      <c r="R77" s="135">
        <f>N77/46.4</f>
        <v>0.24159482758620676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57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F86-2152</f>
        <v>-2152</v>
      </c>
      <c r="L86" s="135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F87-198</f>
        <v>16.580000000000013</v>
      </c>
      <c r="L87" s="135">
        <f>F87/198</f>
        <v>1.0837373737373739</v>
      </c>
      <c r="M87" s="40">
        <f>E87-липень!E87</f>
        <v>0</v>
      </c>
      <c r="N87" s="40">
        <f>F87-липень!F87</f>
        <v>0</v>
      </c>
      <c r="O87" s="53">
        <f t="shared" si="28"/>
        <v>0</v>
      </c>
      <c r="P87" s="56" t="e">
        <f t="shared" si="29"/>
        <v>#DIV/0!</v>
      </c>
      <c r="Q87" s="56">
        <f>N87-8.3</f>
        <v>-8.3</v>
      </c>
      <c r="R87" s="135">
        <f>N87/8.3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57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57">
        <v>80.1</v>
      </c>
      <c r="G89" s="49">
        <f t="shared" si="24"/>
        <v>-33.900000000000006</v>
      </c>
      <c r="H89" s="40">
        <f>F89/E89*100</f>
        <v>70.26315789473684</v>
      </c>
      <c r="I89" s="56">
        <f t="shared" si="26"/>
        <v>-94.9</v>
      </c>
      <c r="J89" s="56">
        <f t="shared" si="27"/>
        <v>45.771428571428565</v>
      </c>
      <c r="K89" s="56">
        <f>F89-108.5</f>
        <v>-28.400000000000006</v>
      </c>
      <c r="L89" s="135">
        <f>F89/108.5</f>
        <v>0.7382488479262672</v>
      </c>
      <c r="M89" s="40">
        <f>E89-липень!E89</f>
        <v>15</v>
      </c>
      <c r="N89" s="40">
        <f>F89-липень!F89</f>
        <v>1.8599999999999994</v>
      </c>
      <c r="O89" s="53">
        <f t="shared" si="28"/>
        <v>-13.14</v>
      </c>
      <c r="P89" s="56">
        <f>N89/M89*100</f>
        <v>12.399999999999995</v>
      </c>
      <c r="Q89" s="56">
        <f>N89-14.5</f>
        <v>-12.64</v>
      </c>
      <c r="R89" s="135">
        <f>N89/14.5</f>
        <v>0.1282758620689655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57">
        <v>4735.7</v>
      </c>
      <c r="G95" s="49">
        <f t="shared" si="31"/>
        <v>54.19999999999982</v>
      </c>
      <c r="H95" s="40">
        <f>F95/E95*100</f>
        <v>101.15774858485527</v>
      </c>
      <c r="I95" s="56">
        <f t="shared" si="32"/>
        <v>-2264.3</v>
      </c>
      <c r="J95" s="56">
        <f>F95/D95*100</f>
        <v>67.65285714285713</v>
      </c>
      <c r="K95" s="56">
        <f>F95-4948.3</f>
        <v>-212.60000000000036</v>
      </c>
      <c r="L95" s="135">
        <f>F95/4948.3</f>
        <v>0.9570357496513954</v>
      </c>
      <c r="M95" s="40">
        <f>E95-липень!E95</f>
        <v>575</v>
      </c>
      <c r="N95" s="40">
        <f>F95-липень!F95</f>
        <v>592.3199999999997</v>
      </c>
      <c r="O95" s="53">
        <f t="shared" si="33"/>
        <v>17.31999999999971</v>
      </c>
      <c r="P95" s="56">
        <f>N95/M95*100</f>
        <v>103.01217391304343</v>
      </c>
      <c r="Q95" s="56">
        <f>N95-696.9</f>
        <v>-104.58000000000027</v>
      </c>
      <c r="R95" s="135">
        <f>N95/696.9</f>
        <v>0.8499354283254409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57">
        <v>582.9</v>
      </c>
      <c r="G96" s="49">
        <f t="shared" si="31"/>
        <v>-111.60000000000002</v>
      </c>
      <c r="H96" s="40">
        <f>F96/E96*100</f>
        <v>83.93088552915766</v>
      </c>
      <c r="I96" s="56">
        <f t="shared" si="32"/>
        <v>-617.1</v>
      </c>
      <c r="J96" s="56">
        <f>F96/D96*100</f>
        <v>48.574999999999996</v>
      </c>
      <c r="K96" s="56">
        <f>F96-693.4</f>
        <v>-110.5</v>
      </c>
      <c r="L96" s="135">
        <f>F96/693.4</f>
        <v>0.840640323045861</v>
      </c>
      <c r="M96" s="40">
        <f>E96-липень!E96</f>
        <v>90</v>
      </c>
      <c r="N96" s="40">
        <f>F96-липень!F96</f>
        <v>51.49000000000001</v>
      </c>
      <c r="O96" s="53">
        <f t="shared" si="33"/>
        <v>-38.50999999999999</v>
      </c>
      <c r="P96" s="56">
        <f>N96/M96*100</f>
        <v>57.21111111111112</v>
      </c>
      <c r="Q96" s="56">
        <f>N96-90.8</f>
        <v>-39.30999999999999</v>
      </c>
      <c r="R96" s="135">
        <f>N96/90.8</f>
        <v>0.5670704845814979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57">
        <v>2592.9</v>
      </c>
      <c r="G99" s="49">
        <f t="shared" si="31"/>
        <v>-4.099999999999909</v>
      </c>
      <c r="H99" s="40">
        <f>F99/E99*100</f>
        <v>99.84212552945706</v>
      </c>
      <c r="I99" s="56">
        <f t="shared" si="32"/>
        <v>-1979.7999999999997</v>
      </c>
      <c r="J99" s="56">
        <f>F99/D99*100</f>
        <v>56.70391672316137</v>
      </c>
      <c r="K99" s="56">
        <f>F99-2979.1</f>
        <v>-386.1999999999998</v>
      </c>
      <c r="L99" s="135">
        <f>F99/2979.1</f>
        <v>0.87036353261052</v>
      </c>
      <c r="M99" s="40">
        <f>E99-липень!E99</f>
        <v>410</v>
      </c>
      <c r="N99" s="40">
        <f>F99-липень!F99</f>
        <v>246.80999999999995</v>
      </c>
      <c r="O99" s="53">
        <f t="shared" si="33"/>
        <v>-163.19000000000005</v>
      </c>
      <c r="P99" s="56">
        <f>N99/M99*100</f>
        <v>60.19756097560974</v>
      </c>
      <c r="Q99" s="56">
        <f>N99-355.4</f>
        <v>-108.59000000000003</v>
      </c>
      <c r="R99" s="135">
        <f>N99/355.4</f>
        <v>0.6944569499155879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581.3</v>
      </c>
      <c r="G102" s="144"/>
      <c r="H102" s="146"/>
      <c r="I102" s="145"/>
      <c r="J102" s="145"/>
      <c r="K102" s="148">
        <f>F102-421.2</f>
        <v>160.09999999999997</v>
      </c>
      <c r="L102" s="149">
        <f>F102/421.2</f>
        <v>1.3801044634377968</v>
      </c>
      <c r="M102" s="40">
        <f>E102-липень!E102</f>
        <v>0</v>
      </c>
      <c r="N102" s="40">
        <f>F102-липень!F102</f>
        <v>111.39999999999998</v>
      </c>
      <c r="O102" s="53"/>
      <c r="P102" s="60"/>
      <c r="Q102" s="60">
        <f>N102-95.6</f>
        <v>15.799999999999983</v>
      </c>
      <c r="R102" s="138">
        <f>N102/95.6</f>
        <v>1.1652719665271964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-49.9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57">
        <v>15.6</v>
      </c>
      <c r="G105" s="49">
        <f>F105-E105</f>
        <v>-5.6</v>
      </c>
      <c r="H105" s="40">
        <f>F105/E105*100</f>
        <v>73.58490566037736</v>
      </c>
      <c r="I105" s="56">
        <f t="shared" si="34"/>
        <v>-29.4</v>
      </c>
      <c r="J105" s="56">
        <f aca="true" t="shared" si="36" ref="J105:J110">F105/D105*100</f>
        <v>34.66666666666667</v>
      </c>
      <c r="K105" s="56">
        <f>F105-13.4</f>
        <v>2.1999999999999993</v>
      </c>
      <c r="L105" s="135">
        <f>F105/13.4</f>
        <v>1.164179104477612</v>
      </c>
      <c r="M105" s="40">
        <f>E105-липень!E105</f>
        <v>3</v>
      </c>
      <c r="N105" s="40">
        <f>F105-липень!F105</f>
        <v>0.16999999999999993</v>
      </c>
      <c r="O105" s="53">
        <f t="shared" si="35"/>
        <v>-2.83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295969.66000000003</v>
      </c>
      <c r="G107" s="50">
        <f>F107-E107</f>
        <v>-26664.429999999993</v>
      </c>
      <c r="H107" s="51">
        <f>F107/E107*100</f>
        <v>91.73539597133087</v>
      </c>
      <c r="I107" s="36">
        <f t="shared" si="34"/>
        <v>-210909.93999999994</v>
      </c>
      <c r="J107" s="36">
        <f t="shared" si="36"/>
        <v>58.390525087219935</v>
      </c>
      <c r="K107" s="36">
        <f>F107-319755.3</f>
        <v>-23785.639999999956</v>
      </c>
      <c r="L107" s="136">
        <f>F107/319755.3</f>
        <v>0.9256129921849616</v>
      </c>
      <c r="M107" s="22">
        <f>M8+M74+M105+M106</f>
        <v>42402.17999999999</v>
      </c>
      <c r="N107" s="22">
        <f>N8+N74+N105+N106</f>
        <v>19384.729999999996</v>
      </c>
      <c r="O107" s="55">
        <f t="shared" si="35"/>
        <v>-23017.449999999997</v>
      </c>
      <c r="P107" s="36">
        <f>N107/M107*100</f>
        <v>45.7163523196213</v>
      </c>
      <c r="Q107" s="36">
        <f>N107-40595</f>
        <v>-21210.270000000004</v>
      </c>
      <c r="R107" s="136">
        <f>N107/40595</f>
        <v>0.47751521123291035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234779.8</v>
      </c>
      <c r="G108" s="71">
        <f>G10-G18+G96</f>
        <v>-21050.700000000004</v>
      </c>
      <c r="H108" s="72">
        <f>F108/E108*100</f>
        <v>91.77162222643508</v>
      </c>
      <c r="I108" s="52">
        <f t="shared" si="34"/>
        <v>-153433.40000000002</v>
      </c>
      <c r="J108" s="52">
        <f t="shared" si="36"/>
        <v>60.47702654108619</v>
      </c>
      <c r="K108" s="52">
        <f>F108-243489.6</f>
        <v>-8709.800000000017</v>
      </c>
      <c r="L108" s="137">
        <f>F108/243489.6</f>
        <v>0.9642292730367128</v>
      </c>
      <c r="M108" s="71">
        <f>M10-M18+M96</f>
        <v>33854.899999999994</v>
      </c>
      <c r="N108" s="71">
        <f>N10-N18+N96</f>
        <v>16362.769999999999</v>
      </c>
      <c r="O108" s="53">
        <f t="shared" si="35"/>
        <v>-17492.129999999997</v>
      </c>
      <c r="P108" s="52">
        <f>N108/M108*100</f>
        <v>48.33205828402979</v>
      </c>
      <c r="Q108" s="52">
        <f>N108-31472.4</f>
        <v>-15109.630000000003</v>
      </c>
      <c r="R108" s="137">
        <f>N108/31472.4</f>
        <v>0.5199085547972191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61189.860000000044</v>
      </c>
      <c r="G109" s="62">
        <f>F109-E109</f>
        <v>-5613.729999999981</v>
      </c>
      <c r="H109" s="72">
        <f>F109/E109*100</f>
        <v>91.59666419125084</v>
      </c>
      <c r="I109" s="52">
        <f t="shared" si="34"/>
        <v>-57476.53999999992</v>
      </c>
      <c r="J109" s="52">
        <f t="shared" si="36"/>
        <v>51.56460463956104</v>
      </c>
      <c r="K109" s="52">
        <f>F109-76265.7</f>
        <v>-15075.839999999953</v>
      </c>
      <c r="L109" s="137">
        <f>F109/76265.7</f>
        <v>0.8023247672282565</v>
      </c>
      <c r="M109" s="71">
        <f>M107-M108</f>
        <v>8547.279999999999</v>
      </c>
      <c r="N109" s="71">
        <f>N107-N108</f>
        <v>3021.9599999999973</v>
      </c>
      <c r="O109" s="53">
        <f t="shared" si="35"/>
        <v>-5525.3200000000015</v>
      </c>
      <c r="P109" s="52">
        <f>N109/M109*100</f>
        <v>35.35580909950297</v>
      </c>
      <c r="Q109" s="52">
        <f>N109-9122.6</f>
        <v>-6100.640000000003</v>
      </c>
      <c r="R109" s="137">
        <f>N109/9122.6</f>
        <v>0.33126082476486934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234779.8</v>
      </c>
      <c r="G110" s="111">
        <f>F110-E110</f>
        <v>-15680.800000000017</v>
      </c>
      <c r="H110" s="72">
        <f>F110/E110*100</f>
        <v>93.73921487052255</v>
      </c>
      <c r="I110" s="81">
        <f t="shared" si="34"/>
        <v>-153433.40000000002</v>
      </c>
      <c r="J110" s="52">
        <f t="shared" si="36"/>
        <v>60.47702654108619</v>
      </c>
      <c r="K110" s="52"/>
      <c r="L110" s="137"/>
      <c r="M110" s="72">
        <f>E110-липень!E110</f>
        <v>33854.899999999994</v>
      </c>
      <c r="N110" s="71">
        <f>N108</f>
        <v>16362.769999999999</v>
      </c>
      <c r="O110" s="63">
        <f t="shared" si="35"/>
        <v>-17492.129999999997</v>
      </c>
      <c r="P110" s="52">
        <f>N110/M110*100</f>
        <v>48.33205828402979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-0.9</v>
      </c>
      <c r="G114" s="49">
        <f aca="true" t="shared" si="37" ref="G114:G126">F114-E114</f>
        <v>-0.9</v>
      </c>
      <c r="H114" s="40"/>
      <c r="I114" s="60">
        <f aca="true" t="shared" si="38" ref="I114:I125">F114-D114</f>
        <v>-0.9</v>
      </c>
      <c r="J114" s="60"/>
      <c r="K114" s="60">
        <f>F114-20.7</f>
        <v>-21.599999999999998</v>
      </c>
      <c r="L114" s="138">
        <f>F114/20.7</f>
        <v>-0.04347826086956522</v>
      </c>
      <c r="M114" s="40">
        <f>E114-липень!E114</f>
        <v>0</v>
      </c>
      <c r="N114" s="40">
        <f>F114-липень!F114</f>
        <v>0.23999999999999988</v>
      </c>
      <c r="O114" s="53"/>
      <c r="P114" s="60"/>
      <c r="Q114" s="60">
        <f>N114-7.2</f>
        <v>-6.96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32">
        <v>911</v>
      </c>
      <c r="G115" s="49">
        <f t="shared" si="37"/>
        <v>-1441.1</v>
      </c>
      <c r="H115" s="40">
        <f aca="true" t="shared" si="39" ref="H115:H126">F115/E115*100</f>
        <v>38.73134645635815</v>
      </c>
      <c r="I115" s="60">
        <f t="shared" si="38"/>
        <v>-2760.5</v>
      </c>
      <c r="J115" s="60">
        <f aca="true" t="shared" si="40" ref="J115:J121">F115/D115*100</f>
        <v>24.81274683371919</v>
      </c>
      <c r="K115" s="60">
        <f>F115-2927.1</f>
        <v>-2016.1</v>
      </c>
      <c r="L115" s="138">
        <f>F115/2927.1</f>
        <v>0.3112295446004578</v>
      </c>
      <c r="M115" s="40">
        <f>E115-липень!E115</f>
        <v>327.5</v>
      </c>
      <c r="N115" s="40">
        <f>F115-липень!F115</f>
        <v>97.64999999999998</v>
      </c>
      <c r="O115" s="53">
        <f aca="true" t="shared" si="41" ref="O115:O126">N115-M115</f>
        <v>-229.85000000000002</v>
      </c>
      <c r="P115" s="60">
        <f>N115/M115*100</f>
        <v>29.816793893129763</v>
      </c>
      <c r="Q115" s="60">
        <f>N115-728.3</f>
        <v>-630.65</v>
      </c>
      <c r="R115" s="138">
        <f>N115/728.3</f>
        <v>0.13407936289990385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32">
        <v>206.8</v>
      </c>
      <c r="G116" s="49">
        <f t="shared" si="37"/>
        <v>28.30000000000001</v>
      </c>
      <c r="H116" s="40">
        <f t="shared" si="39"/>
        <v>115.85434173669469</v>
      </c>
      <c r="I116" s="60">
        <f t="shared" si="38"/>
        <v>-61.30000000000001</v>
      </c>
      <c r="J116" s="60">
        <f t="shared" si="40"/>
        <v>77.13539723983588</v>
      </c>
      <c r="K116" s="60">
        <f>F116-175.7</f>
        <v>31.100000000000023</v>
      </c>
      <c r="L116" s="138">
        <f>F116/175.7</f>
        <v>1.1770062606715994</v>
      </c>
      <c r="M116" s="40">
        <f>E116-липень!E116</f>
        <v>22</v>
      </c>
      <c r="N116" s="40">
        <f>F116-липень!F116</f>
        <v>23.460000000000008</v>
      </c>
      <c r="O116" s="53">
        <f t="shared" si="41"/>
        <v>1.460000000000008</v>
      </c>
      <c r="P116" s="60">
        <f>N116/M116*100</f>
        <v>106.63636363636367</v>
      </c>
      <c r="Q116" s="60">
        <f>N116-21.9</f>
        <v>1.5600000000000094</v>
      </c>
      <c r="R116" s="138">
        <f>N116/21.9</f>
        <v>1.0712328767123291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38">
        <f>SUM(F114:F116)</f>
        <v>1116.9</v>
      </c>
      <c r="G117" s="62">
        <f t="shared" si="37"/>
        <v>-1413.6999999999998</v>
      </c>
      <c r="H117" s="72">
        <f t="shared" si="39"/>
        <v>44.13577807634553</v>
      </c>
      <c r="I117" s="61">
        <f t="shared" si="38"/>
        <v>-2822.7</v>
      </c>
      <c r="J117" s="61">
        <f t="shared" si="40"/>
        <v>28.35059396893086</v>
      </c>
      <c r="K117" s="61">
        <f>F117-3123.4</f>
        <v>-2006.5</v>
      </c>
      <c r="L117" s="139">
        <f>F117/3123.4</f>
        <v>0.35759108663635786</v>
      </c>
      <c r="M117" s="62">
        <f>M115+M116+M114</f>
        <v>349.5</v>
      </c>
      <c r="N117" s="38">
        <f>SUM(N114:N116)</f>
        <v>121.34999999999998</v>
      </c>
      <c r="O117" s="61">
        <f t="shared" si="41"/>
        <v>-228.15000000000003</v>
      </c>
      <c r="P117" s="61">
        <f>N117/M117*100</f>
        <v>34.72103004291845</v>
      </c>
      <c r="Q117" s="61">
        <f>N117-757.4</f>
        <v>-636.05</v>
      </c>
      <c r="R117" s="139">
        <f>N117/757.4</f>
        <v>0.16021917084763662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261.3</v>
      </c>
      <c r="G119" s="49">
        <f t="shared" si="37"/>
        <v>78.80000000000001</v>
      </c>
      <c r="H119" s="40">
        <f t="shared" si="39"/>
        <v>143.17808219178085</v>
      </c>
      <c r="I119" s="60">
        <f t="shared" si="38"/>
        <v>-5.899999999999977</v>
      </c>
      <c r="J119" s="60">
        <f t="shared" si="40"/>
        <v>97.79191616766468</v>
      </c>
      <c r="K119" s="60">
        <f>F119-173.1</f>
        <v>88.20000000000002</v>
      </c>
      <c r="L119" s="138">
        <f>F119/173.1</f>
        <v>1.5095320623916813</v>
      </c>
      <c r="M119" s="40">
        <f>E119-липень!E119</f>
        <v>0</v>
      </c>
      <c r="N119" s="40">
        <f>F119-липень!F119</f>
        <v>2.230000000000018</v>
      </c>
      <c r="O119" s="53">
        <f>N119-M119</f>
        <v>2.230000000000018</v>
      </c>
      <c r="P119" s="60" t="e">
        <f>N119/M119*100</f>
        <v>#DIV/0!</v>
      </c>
      <c r="Q119" s="60">
        <f>N119-0.4</f>
        <v>1.8300000000000183</v>
      </c>
      <c r="R119" s="138">
        <f>N119/0.4</f>
        <v>5.5750000000000455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33">
        <v>52486.6</v>
      </c>
      <c r="G120" s="49">
        <f t="shared" si="37"/>
        <v>3074</v>
      </c>
      <c r="H120" s="40">
        <f t="shared" si="39"/>
        <v>106.22108531022451</v>
      </c>
      <c r="I120" s="53">
        <f t="shared" si="38"/>
        <v>-19489.390000000007</v>
      </c>
      <c r="J120" s="60">
        <f t="shared" si="40"/>
        <v>72.92237314137672</v>
      </c>
      <c r="K120" s="60">
        <f>F120-47624.2</f>
        <v>4862.4000000000015</v>
      </c>
      <c r="L120" s="138">
        <f>F120/47624.2</f>
        <v>1.1020993528500216</v>
      </c>
      <c r="M120" s="40">
        <f>E120-липень!E120</f>
        <v>8100</v>
      </c>
      <c r="N120" s="40">
        <f>F120-липень!F120</f>
        <v>6276.869999999995</v>
      </c>
      <c r="O120" s="53">
        <f t="shared" si="41"/>
        <v>-1823.1300000000047</v>
      </c>
      <c r="P120" s="60">
        <f aca="true" t="shared" si="42" ref="P120:P125">N120/M120*100</f>
        <v>77.49222222222217</v>
      </c>
      <c r="Q120" s="60">
        <f>N120-7964.9</f>
        <v>-1688.0300000000043</v>
      </c>
      <c r="R120" s="138">
        <f>N120/7964.9</f>
        <v>0.7880663912917922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1723</v>
      </c>
      <c r="F121" s="33">
        <v>1678.13</v>
      </c>
      <c r="G121" s="49">
        <f t="shared" si="37"/>
        <v>-44.86999999999989</v>
      </c>
      <c r="H121" s="40">
        <f t="shared" si="39"/>
        <v>97.39582124201974</v>
      </c>
      <c r="I121" s="60">
        <f t="shared" si="38"/>
        <v>-8321.869999999999</v>
      </c>
      <c r="J121" s="60">
        <f t="shared" si="40"/>
        <v>16.7813</v>
      </c>
      <c r="K121" s="60">
        <f>F121-1122.3</f>
        <v>555.8300000000002</v>
      </c>
      <c r="L121" s="138">
        <f>F121/1122.3</f>
        <v>1.4952597344738485</v>
      </c>
      <c r="M121" s="40">
        <f>E121-липень!E121</f>
        <v>40</v>
      </c>
      <c r="N121" s="40">
        <f>F121-липень!F121</f>
        <v>0</v>
      </c>
      <c r="O121" s="53">
        <f t="shared" si="41"/>
        <v>-40</v>
      </c>
      <c r="P121" s="60">
        <f t="shared" si="42"/>
        <v>0</v>
      </c>
      <c r="Q121" s="60">
        <f>N121-1.4</f>
        <v>-1.4</v>
      </c>
      <c r="R121" s="138">
        <f>N121/1.4</f>
        <v>0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33">
        <v>2264.2</v>
      </c>
      <c r="G122" s="49">
        <f t="shared" si="37"/>
        <v>-7349.8</v>
      </c>
      <c r="H122" s="40">
        <f t="shared" si="39"/>
        <v>23.551071354275013</v>
      </c>
      <c r="I122" s="60">
        <f t="shared" si="38"/>
        <v>-20813.8</v>
      </c>
      <c r="J122" s="60">
        <f>F122/D122*100</f>
        <v>9.81107548314412</v>
      </c>
      <c r="K122" s="60">
        <f>F122-14737.3</f>
        <v>-12473.099999999999</v>
      </c>
      <c r="L122" s="138">
        <f>F122/14737.3</f>
        <v>0.15363736912460219</v>
      </c>
      <c r="M122" s="40">
        <f>E122-липень!E122</f>
        <v>2381.5</v>
      </c>
      <c r="N122" s="40">
        <f>F122-липень!F122</f>
        <v>28.230000000000018</v>
      </c>
      <c r="O122" s="53">
        <f t="shared" si="41"/>
        <v>-2353.27</v>
      </c>
      <c r="P122" s="60">
        <f t="shared" si="42"/>
        <v>1.1853873609069923</v>
      </c>
      <c r="Q122" s="60">
        <f>N122-560</f>
        <v>-531.77</v>
      </c>
      <c r="R122" s="138">
        <f>N122/560</f>
        <v>0.050410714285714316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33">
        <v>764.6</v>
      </c>
      <c r="G123" s="49">
        <f t="shared" si="37"/>
        <v>-477.0300000000001</v>
      </c>
      <c r="H123" s="40">
        <f t="shared" si="39"/>
        <v>61.58034196982997</v>
      </c>
      <c r="I123" s="60">
        <f t="shared" si="38"/>
        <v>-1235.4</v>
      </c>
      <c r="J123" s="60">
        <f>F123/D123*100</f>
        <v>38.230000000000004</v>
      </c>
      <c r="K123" s="60">
        <f>F123-1640.1</f>
        <v>-875.4999999999999</v>
      </c>
      <c r="L123" s="138">
        <f>F123/1640.1</f>
        <v>0.4661910859093958</v>
      </c>
      <c r="M123" s="40">
        <f>E123-липень!E123</f>
        <v>189.59000000000015</v>
      </c>
      <c r="N123" s="40">
        <f>F123-липень!F123</f>
        <v>0.37999999999999545</v>
      </c>
      <c r="O123" s="53">
        <f t="shared" si="41"/>
        <v>-189.21000000000015</v>
      </c>
      <c r="P123" s="60">
        <f t="shared" si="42"/>
        <v>0.20043251226330247</v>
      </c>
      <c r="Q123" s="60">
        <f>N123-290.7</f>
        <v>-290.32</v>
      </c>
      <c r="R123" s="138">
        <f>N123/290.7</f>
        <v>0.0013071895424836446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62173.729999999996</v>
      </c>
      <c r="F124" s="38">
        <f>F120+F121+F122+F123+F119</f>
        <v>57454.829999999994</v>
      </c>
      <c r="G124" s="62">
        <f t="shared" si="37"/>
        <v>-4718.9000000000015</v>
      </c>
      <c r="H124" s="72">
        <f t="shared" si="39"/>
        <v>92.41013849418395</v>
      </c>
      <c r="I124" s="61">
        <f t="shared" si="38"/>
        <v>-49866.36000000001</v>
      </c>
      <c r="J124" s="61">
        <f>F124/D124*100</f>
        <v>53.53540153626697</v>
      </c>
      <c r="K124" s="61">
        <f>F124-65296.9</f>
        <v>-7842.070000000007</v>
      </c>
      <c r="L124" s="139">
        <f>F124/65296.9</f>
        <v>0.8799013429427736</v>
      </c>
      <c r="M124" s="62">
        <f>M120+M121+M122+M123+M119</f>
        <v>10711.09</v>
      </c>
      <c r="N124" s="62">
        <f>N120+N121+N122+N123+N119</f>
        <v>6307.7099999999955</v>
      </c>
      <c r="O124" s="61">
        <f t="shared" si="41"/>
        <v>-4403.380000000005</v>
      </c>
      <c r="P124" s="61">
        <f t="shared" si="42"/>
        <v>58.88952478225834</v>
      </c>
      <c r="Q124" s="61">
        <f>N124-8817.5</f>
        <v>-2509.7900000000045</v>
      </c>
      <c r="R124" s="139">
        <f>N124/8817.5</f>
        <v>0.7153626311312725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33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33">
        <v>5324.4</v>
      </c>
      <c r="G128" s="49">
        <f aca="true" t="shared" si="43" ref="G128:G135">F128-E128</f>
        <v>-1393.1000000000004</v>
      </c>
      <c r="H128" s="40">
        <f>F128/E128*100</f>
        <v>79.26163007071082</v>
      </c>
      <c r="I128" s="60">
        <f aca="true" t="shared" si="44" ref="I128:I135">F128-D128</f>
        <v>-3375.6000000000004</v>
      </c>
      <c r="J128" s="60">
        <f>F128/D128*100</f>
        <v>61.199999999999996</v>
      </c>
      <c r="K128" s="60">
        <f>F128-8680.2</f>
        <v>-3355.800000000001</v>
      </c>
      <c r="L128" s="138">
        <f>F128/8680.2</f>
        <v>0.6133960047003524</v>
      </c>
      <c r="M128" s="40">
        <f>E128-липень!E128</f>
        <v>1702</v>
      </c>
      <c r="N128" s="40">
        <f>F128-липень!F128</f>
        <v>16.229999999999563</v>
      </c>
      <c r="O128" s="53">
        <f aca="true" t="shared" si="45" ref="O128:O135">N128-M128</f>
        <v>-1685.7700000000004</v>
      </c>
      <c r="P128" s="60">
        <f>N128/M128*100</f>
        <v>0.9535840188013844</v>
      </c>
      <c r="Q128" s="60">
        <f>N128-2359.4</f>
        <v>-2343.1700000000005</v>
      </c>
      <c r="R128" s="162">
        <f>N128/2359.4</f>
        <v>0.006878867508688464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F129-0.3</f>
        <v>0.22000000000000003</v>
      </c>
      <c r="L129" s="138">
        <f>F129/0.3</f>
        <v>1.7333333333333334</v>
      </c>
      <c r="M129" s="40">
        <f>E129-липень!E129</f>
        <v>0</v>
      </c>
      <c r="N129" s="40">
        <f>F129-липень!F129</f>
        <v>0</v>
      </c>
      <c r="O129" s="53">
        <f t="shared" si="45"/>
        <v>0</v>
      </c>
      <c r="P129" s="60"/>
      <c r="Q129" s="60">
        <f>N129-0.4</f>
        <v>-0.4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38">
        <f>F128+F125+F129+F127</f>
        <v>5358.57</v>
      </c>
      <c r="G130" s="62">
        <f t="shared" si="43"/>
        <v>-1389.29</v>
      </c>
      <c r="H130" s="72">
        <f>F130/E130*100</f>
        <v>79.41139857673396</v>
      </c>
      <c r="I130" s="61">
        <f t="shared" si="44"/>
        <v>-3392.130000000001</v>
      </c>
      <c r="J130" s="61">
        <f>F130/D130*100</f>
        <v>61.23590112790976</v>
      </c>
      <c r="K130" s="61">
        <f>F130-8800.6</f>
        <v>-3442.0300000000007</v>
      </c>
      <c r="L130" s="139">
        <f>G130/8800.6</f>
        <v>-0.15786310024316522</v>
      </c>
      <c r="M130" s="62">
        <f>M125+M128+M129+M127</f>
        <v>1706</v>
      </c>
      <c r="N130" s="62">
        <f>N125+N128+N129+N127</f>
        <v>16.229999999999563</v>
      </c>
      <c r="O130" s="61">
        <f t="shared" si="45"/>
        <v>-1689.7700000000004</v>
      </c>
      <c r="P130" s="61">
        <f>N130/M130*100</f>
        <v>0.9513481828839135</v>
      </c>
      <c r="Q130" s="61">
        <f>N130-2362.3</f>
        <v>-2346.0700000000006</v>
      </c>
      <c r="R130" s="137">
        <f>N130/2362.3</f>
        <v>0.006870422892943133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33">
        <v>22.4</v>
      </c>
      <c r="G131" s="49">
        <f>F131-E131</f>
        <v>5.949999999999999</v>
      </c>
      <c r="H131" s="40">
        <f>F131/E131*100</f>
        <v>136.17021276595744</v>
      </c>
      <c r="I131" s="60">
        <f>F131-D131</f>
        <v>-7.600000000000001</v>
      </c>
      <c r="J131" s="60">
        <f>F131/D131*100</f>
        <v>74.66666666666666</v>
      </c>
      <c r="K131" s="60">
        <f>F131-17.7</f>
        <v>4.699999999999999</v>
      </c>
      <c r="L131" s="138">
        <f>F131/17.7</f>
        <v>1.2655367231638417</v>
      </c>
      <c r="M131" s="40">
        <f>E131-липень!E131</f>
        <v>0.3999999999999986</v>
      </c>
      <c r="N131" s="40">
        <f>F131-липень!F131</f>
        <v>0</v>
      </c>
      <c r="O131" s="53">
        <f>N131-M131</f>
        <v>-0.3999999999999986</v>
      </c>
      <c r="P131" s="60">
        <f>N131/M131*100</f>
        <v>0</v>
      </c>
      <c r="Q131" s="60">
        <f>N131-0.5</f>
        <v>-0.5</v>
      </c>
      <c r="R131" s="138">
        <f>N131/0.5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71468.64</v>
      </c>
      <c r="F134" s="31">
        <f>F117+F131+F124+F130+F133+F132</f>
        <v>63952.7</v>
      </c>
      <c r="G134" s="50">
        <f t="shared" si="43"/>
        <v>-7515.940000000002</v>
      </c>
      <c r="H134" s="51">
        <f>F134/E134*100</f>
        <v>89.48358328911813</v>
      </c>
      <c r="I134" s="36">
        <f t="shared" si="44"/>
        <v>-56088.79000000001</v>
      </c>
      <c r="J134" s="36">
        <f>F134/D134*100</f>
        <v>53.275496663695186</v>
      </c>
      <c r="K134" s="36">
        <f>F134-77238.6</f>
        <v>-13285.900000000009</v>
      </c>
      <c r="L134" s="136">
        <f>F134/77238.6</f>
        <v>0.8279888553132759</v>
      </c>
      <c r="M134" s="31">
        <f>M117+M131+M124+M130+M133+M132</f>
        <v>12766.99</v>
      </c>
      <c r="N134" s="31">
        <f>N117+N131+N124+N130+N133+N132</f>
        <v>6445.289999999995</v>
      </c>
      <c r="O134" s="36">
        <f t="shared" si="45"/>
        <v>-6321.700000000004</v>
      </c>
      <c r="P134" s="36">
        <f>N134/M134*100</f>
        <v>50.484021684046084</v>
      </c>
      <c r="Q134" s="36">
        <f>N134-11937.6</f>
        <v>-5492.310000000005</v>
      </c>
      <c r="R134" s="136">
        <f>N134/11937.6</f>
        <v>0.5399150583031761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394102.73000000004</v>
      </c>
      <c r="F135" s="31">
        <f>F107+F134</f>
        <v>359922.36000000004</v>
      </c>
      <c r="G135" s="50">
        <f t="shared" si="43"/>
        <v>-34180.369999999995</v>
      </c>
      <c r="H135" s="51">
        <f>F135/E135*100</f>
        <v>91.32704054092699</v>
      </c>
      <c r="I135" s="36">
        <f t="shared" si="44"/>
        <v>-266998.7299999999</v>
      </c>
      <c r="J135" s="36">
        <f>F135/D135*100</f>
        <v>57.41111054343379</v>
      </c>
      <c r="K135" s="36">
        <f>F135-396993.9</f>
        <v>-37071.53999999998</v>
      </c>
      <c r="L135" s="136">
        <f>F135/396993.9</f>
        <v>0.9066193712296335</v>
      </c>
      <c r="M135" s="22">
        <f>M107+M134</f>
        <v>55169.16999999999</v>
      </c>
      <c r="N135" s="22">
        <f>N107+N134</f>
        <v>25830.01999999999</v>
      </c>
      <c r="O135" s="36">
        <f t="shared" si="45"/>
        <v>-29339.15</v>
      </c>
      <c r="P135" s="36">
        <f>N135/M135*100</f>
        <v>46.819663953617564</v>
      </c>
      <c r="Q135" s="36">
        <f>N135-52532.5</f>
        <v>-26702.48000000001</v>
      </c>
      <c r="R135" s="136">
        <f>N135/52532.5</f>
        <v>0.4916959977156996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9</v>
      </c>
      <c r="D137" s="4" t="s">
        <v>118</v>
      </c>
    </row>
    <row r="138" spans="2:17" ht="31.5">
      <c r="B138" s="78" t="s">
        <v>154</v>
      </c>
      <c r="C138" s="39">
        <f>IF(O107&lt;0,ABS(O107/C137),0)</f>
        <v>2557.494444444444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41866</v>
      </c>
      <c r="D139" s="39">
        <v>2938.2</v>
      </c>
      <c r="N139" s="179"/>
      <c r="O139" s="179"/>
    </row>
    <row r="140" spans="3:15" ht="15.75">
      <c r="C140" s="120">
        <v>41865</v>
      </c>
      <c r="D140" s="39">
        <v>1689.5</v>
      </c>
      <c r="F140" s="4" t="s">
        <v>166</v>
      </c>
      <c r="G140" s="175" t="s">
        <v>151</v>
      </c>
      <c r="H140" s="175"/>
      <c r="I140" s="115">
        <f>'[1]залишки  (2)'!$G$9/1000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41864</v>
      </c>
      <c r="D141" s="39">
        <v>979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f>'[1]залишки  (2)'!$G$6/1000</f>
        <v>125770.44247</v>
      </c>
      <c r="E143" s="80"/>
      <c r="F143" s="100" t="s">
        <v>147</v>
      </c>
      <c r="G143" s="175" t="s">
        <v>149</v>
      </c>
      <c r="H143" s="175"/>
      <c r="I143" s="116">
        <f>'[1]залишки  (2)'!$G$10/1000</f>
        <v>111945.22050999998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f>'[1]надх'!$B$52/1000</f>
        <v>30041.373849999993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111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115" sqref="K11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252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249</v>
      </c>
      <c r="H4" s="189" t="s">
        <v>250</v>
      </c>
      <c r="I4" s="185" t="s">
        <v>188</v>
      </c>
      <c r="J4" s="191" t="s">
        <v>189</v>
      </c>
      <c r="K4" s="167" t="s">
        <v>254</v>
      </c>
      <c r="L4" s="168"/>
      <c r="M4" s="204"/>
      <c r="N4" s="183" t="s">
        <v>257</v>
      </c>
      <c r="O4" s="185" t="s">
        <v>136</v>
      </c>
      <c r="P4" s="185" t="s">
        <v>135</v>
      </c>
      <c r="Q4" s="167" t="s">
        <v>255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248</v>
      </c>
      <c r="F5" s="207"/>
      <c r="G5" s="188"/>
      <c r="H5" s="190"/>
      <c r="I5" s="186"/>
      <c r="J5" s="192"/>
      <c r="K5" s="180"/>
      <c r="L5" s="181"/>
      <c r="M5" s="151" t="s">
        <v>251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79"/>
      <c r="O139" s="179"/>
    </row>
    <row r="140" spans="3:15" ht="15.75">
      <c r="C140" s="120">
        <v>41850</v>
      </c>
      <c r="D140" s="39">
        <v>4320</v>
      </c>
      <c r="F140" s="4" t="s">
        <v>166</v>
      </c>
      <c r="G140" s="175" t="s">
        <v>151</v>
      </c>
      <c r="H140" s="175"/>
      <c r="I140" s="115">
        <f>13825221.96/1000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41849</v>
      </c>
      <c r="D141" s="39">
        <v>4403.7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f>120856761.09/1000</f>
        <v>120856.76109</v>
      </c>
      <c r="E143" s="80"/>
      <c r="F143" s="100" t="s">
        <v>147</v>
      </c>
      <c r="G143" s="175" t="s">
        <v>149</v>
      </c>
      <c r="H143" s="175"/>
      <c r="I143" s="116">
        <f>107031539.13/1000</f>
        <v>107031.53912999999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f>26199804.73/1000</f>
        <v>26199.80473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68" sqref="H6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243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238</v>
      </c>
      <c r="H4" s="189" t="s">
        <v>239</v>
      </c>
      <c r="I4" s="185" t="s">
        <v>188</v>
      </c>
      <c r="J4" s="191" t="s">
        <v>189</v>
      </c>
      <c r="K4" s="167" t="s">
        <v>240</v>
      </c>
      <c r="L4" s="168"/>
      <c r="M4" s="204"/>
      <c r="N4" s="183" t="s">
        <v>247</v>
      </c>
      <c r="O4" s="185" t="s">
        <v>136</v>
      </c>
      <c r="P4" s="185" t="s">
        <v>135</v>
      </c>
      <c r="Q4" s="167" t="s">
        <v>242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237</v>
      </c>
      <c r="F5" s="207"/>
      <c r="G5" s="188"/>
      <c r="H5" s="190"/>
      <c r="I5" s="186"/>
      <c r="J5" s="192"/>
      <c r="K5" s="180"/>
      <c r="L5" s="181"/>
      <c r="M5" s="151" t="s">
        <v>241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79"/>
      <c r="O139" s="179"/>
    </row>
    <row r="140" spans="3:15" ht="15.75">
      <c r="C140" s="120">
        <v>41816</v>
      </c>
      <c r="D140" s="39">
        <v>4277.2</v>
      </c>
      <c r="F140" s="4" t="s">
        <v>166</v>
      </c>
      <c r="G140" s="175" t="s">
        <v>151</v>
      </c>
      <c r="H140" s="175"/>
      <c r="I140" s="115">
        <f>'[1]залишки  (2)'!$G$9/1000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41815</v>
      </c>
      <c r="D141" s="39">
        <v>1877.7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v>117976.29</v>
      </c>
      <c r="E143" s="80"/>
      <c r="F143" s="100" t="s">
        <v>147</v>
      </c>
      <c r="G143" s="175" t="s">
        <v>149</v>
      </c>
      <c r="H143" s="175"/>
      <c r="I143" s="116">
        <v>104151.07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v>41386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235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233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229</v>
      </c>
      <c r="H4" s="189" t="s">
        <v>230</v>
      </c>
      <c r="I4" s="185" t="s">
        <v>188</v>
      </c>
      <c r="J4" s="191" t="s">
        <v>189</v>
      </c>
      <c r="K4" s="167" t="s">
        <v>231</v>
      </c>
      <c r="L4" s="168"/>
      <c r="M4" s="204"/>
      <c r="N4" s="183" t="s">
        <v>236</v>
      </c>
      <c r="O4" s="185" t="s">
        <v>136</v>
      </c>
      <c r="P4" s="185" t="s">
        <v>135</v>
      </c>
      <c r="Q4" s="167" t="s">
        <v>234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228</v>
      </c>
      <c r="F5" s="207"/>
      <c r="G5" s="188"/>
      <c r="H5" s="190"/>
      <c r="I5" s="186"/>
      <c r="J5" s="192"/>
      <c r="K5" s="180"/>
      <c r="L5" s="181"/>
      <c r="M5" s="151" t="s">
        <v>232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79"/>
      <c r="O138" s="179"/>
    </row>
    <row r="139" spans="3:15" ht="15.75">
      <c r="C139" s="120">
        <v>41788</v>
      </c>
      <c r="D139" s="39">
        <v>5993.3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41787</v>
      </c>
      <c r="D140" s="39">
        <v>2595.2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118982.48</v>
      </c>
      <c r="E142" s="80"/>
      <c r="F142" s="100" t="s">
        <v>147</v>
      </c>
      <c r="G142" s="175" t="s">
        <v>149</v>
      </c>
      <c r="H142" s="175"/>
      <c r="I142" s="116">
        <v>105157.26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27359.4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226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221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217</v>
      </c>
      <c r="H4" s="189" t="s">
        <v>218</v>
      </c>
      <c r="I4" s="185" t="s">
        <v>188</v>
      </c>
      <c r="J4" s="191" t="s">
        <v>189</v>
      </c>
      <c r="K4" s="167" t="s">
        <v>219</v>
      </c>
      <c r="L4" s="168"/>
      <c r="M4" s="204"/>
      <c r="N4" s="183" t="s">
        <v>227</v>
      </c>
      <c r="O4" s="185" t="s">
        <v>136</v>
      </c>
      <c r="P4" s="185" t="s">
        <v>135</v>
      </c>
      <c r="Q4" s="167" t="s">
        <v>222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216</v>
      </c>
      <c r="F5" s="207"/>
      <c r="G5" s="188"/>
      <c r="H5" s="190"/>
      <c r="I5" s="186"/>
      <c r="J5" s="192"/>
      <c r="K5" s="180"/>
      <c r="L5" s="181"/>
      <c r="M5" s="151" t="s">
        <v>220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9"/>
      <c r="O138" s="179"/>
    </row>
    <row r="139" spans="3:15" ht="15.75">
      <c r="C139" s="120">
        <v>41758</v>
      </c>
      <c r="D139" s="39">
        <v>5440.9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41757</v>
      </c>
      <c r="D140" s="39">
        <v>1923.2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123251.48</v>
      </c>
      <c r="E142" s="80"/>
      <c r="F142" s="100" t="s">
        <v>147</v>
      </c>
      <c r="G142" s="175" t="s">
        <v>149</v>
      </c>
      <c r="H142" s="175"/>
      <c r="I142" s="116">
        <v>109426.25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f>'[1]надх'!$B$52/1000</f>
        <v>30041.373849999993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208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210</v>
      </c>
      <c r="N3" s="205" t="s">
        <v>198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207</v>
      </c>
      <c r="H4" s="189" t="s">
        <v>195</v>
      </c>
      <c r="I4" s="185" t="s">
        <v>188</v>
      </c>
      <c r="J4" s="191" t="s">
        <v>189</v>
      </c>
      <c r="K4" s="167" t="s">
        <v>196</v>
      </c>
      <c r="L4" s="168"/>
      <c r="M4" s="204"/>
      <c r="N4" s="183" t="s">
        <v>213</v>
      </c>
      <c r="O4" s="185" t="s">
        <v>136</v>
      </c>
      <c r="P4" s="185" t="s">
        <v>135</v>
      </c>
      <c r="Q4" s="167" t="s">
        <v>197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214</v>
      </c>
      <c r="F5" s="207"/>
      <c r="G5" s="188"/>
      <c r="H5" s="190"/>
      <c r="I5" s="186"/>
      <c r="J5" s="192"/>
      <c r="K5" s="180"/>
      <c r="L5" s="181"/>
      <c r="M5" s="151" t="s">
        <v>211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9"/>
      <c r="O138" s="179"/>
    </row>
    <row r="139" spans="3:15" ht="15.75">
      <c r="C139" s="120">
        <v>41726</v>
      </c>
      <c r="D139" s="39">
        <v>4682.6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41725</v>
      </c>
      <c r="D140" s="39">
        <v>3360.7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114985.02570999999</v>
      </c>
      <c r="E142" s="80"/>
      <c r="F142" s="100" t="s">
        <v>147</v>
      </c>
      <c r="G142" s="175" t="s">
        <v>149</v>
      </c>
      <c r="H142" s="175"/>
      <c r="I142" s="116">
        <v>101159.80375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3918.1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93" t="s">
        <v>193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17" t="s">
        <v>187</v>
      </c>
      <c r="E3" s="46"/>
      <c r="F3" s="218" t="s">
        <v>107</v>
      </c>
      <c r="G3" s="219"/>
      <c r="H3" s="219"/>
      <c r="I3" s="219"/>
      <c r="J3" s="220"/>
      <c r="K3" s="123"/>
      <c r="L3" s="123"/>
      <c r="M3" s="221" t="s">
        <v>190</v>
      </c>
      <c r="N3" s="212" t="s">
        <v>185</v>
      </c>
      <c r="O3" s="212"/>
      <c r="P3" s="212"/>
      <c r="Q3" s="212"/>
      <c r="R3" s="212"/>
    </row>
    <row r="4" spans="1:18" ht="22.5" customHeight="1">
      <c r="A4" s="195"/>
      <c r="B4" s="197"/>
      <c r="C4" s="198"/>
      <c r="D4" s="217"/>
      <c r="E4" s="222" t="s">
        <v>191</v>
      </c>
      <c r="F4" s="213" t="s">
        <v>116</v>
      </c>
      <c r="G4" s="215" t="s">
        <v>167</v>
      </c>
      <c r="H4" s="189" t="s">
        <v>168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1"/>
      <c r="N4" s="183" t="s">
        <v>194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17"/>
      <c r="E5" s="223"/>
      <c r="F5" s="214"/>
      <c r="G5" s="216"/>
      <c r="H5" s="190"/>
      <c r="I5" s="211"/>
      <c r="J5" s="209"/>
      <c r="K5" s="180" t="s">
        <v>184</v>
      </c>
      <c r="L5" s="181"/>
      <c r="M5" s="221"/>
      <c r="N5" s="184"/>
      <c r="O5" s="211"/>
      <c r="P5" s="212"/>
      <c r="Q5" s="180" t="s">
        <v>199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9"/>
      <c r="O138" s="179"/>
    </row>
    <row r="139" spans="3:15" ht="15.75">
      <c r="C139" s="120">
        <v>41697</v>
      </c>
      <c r="D139" s="39">
        <v>2276.8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41696</v>
      </c>
      <c r="D140" s="39">
        <v>3746.1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f>'[1]залишки  (2)'!$G$8/1000</f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121970.53</v>
      </c>
      <c r="E142" s="80"/>
      <c r="F142" s="100" t="s">
        <v>147</v>
      </c>
      <c r="G142" s="175" t="s">
        <v>149</v>
      </c>
      <c r="H142" s="175"/>
      <c r="I142" s="116">
        <v>108145.31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93" t="s">
        <v>183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17" t="s">
        <v>192</v>
      </c>
      <c r="E3" s="46"/>
      <c r="F3" s="218" t="s">
        <v>107</v>
      </c>
      <c r="G3" s="219"/>
      <c r="H3" s="219"/>
      <c r="I3" s="219"/>
      <c r="J3" s="220"/>
      <c r="K3" s="123"/>
      <c r="L3" s="123"/>
      <c r="M3" s="191" t="s">
        <v>200</v>
      </c>
      <c r="N3" s="212" t="s">
        <v>178</v>
      </c>
      <c r="O3" s="212"/>
      <c r="P3" s="212"/>
      <c r="Q3" s="212"/>
      <c r="R3" s="212"/>
    </row>
    <row r="4" spans="1:18" ht="22.5" customHeight="1">
      <c r="A4" s="195"/>
      <c r="B4" s="197"/>
      <c r="C4" s="198"/>
      <c r="D4" s="217"/>
      <c r="E4" s="222" t="s">
        <v>153</v>
      </c>
      <c r="F4" s="213" t="s">
        <v>116</v>
      </c>
      <c r="G4" s="215" t="s">
        <v>175</v>
      </c>
      <c r="H4" s="189" t="s">
        <v>176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4"/>
      <c r="N4" s="183" t="s">
        <v>186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17"/>
      <c r="E5" s="223"/>
      <c r="F5" s="214"/>
      <c r="G5" s="216"/>
      <c r="H5" s="190"/>
      <c r="I5" s="211"/>
      <c r="J5" s="209"/>
      <c r="K5" s="180" t="s">
        <v>177</v>
      </c>
      <c r="L5" s="181"/>
      <c r="M5" s="192"/>
      <c r="N5" s="184"/>
      <c r="O5" s="211"/>
      <c r="P5" s="212"/>
      <c r="Q5" s="180" t="s">
        <v>179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9"/>
      <c r="O138" s="179"/>
    </row>
    <row r="139" spans="3:15" ht="15.75">
      <c r="C139" s="120">
        <v>41669</v>
      </c>
      <c r="D139" s="39">
        <v>4752.2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111410.62</v>
      </c>
      <c r="E142" s="80"/>
      <c r="F142" s="100" t="s">
        <v>147</v>
      </c>
      <c r="G142" s="175" t="s">
        <v>149</v>
      </c>
      <c r="H142" s="175"/>
      <c r="I142" s="116">
        <v>97585.4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2014-08-14T07:19:34Z</cp:lastPrinted>
  <dcterms:created xsi:type="dcterms:W3CDTF">2003-07-28T11:27:56Z</dcterms:created>
  <dcterms:modified xsi:type="dcterms:W3CDTF">2014-08-18T11:29:42Z</dcterms:modified>
  <cp:category/>
  <cp:version/>
  <cp:contentType/>
  <cp:contentStatus/>
</cp:coreProperties>
</file>